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05" windowWidth="10335" windowHeight="11340"/>
  </bookViews>
  <sheets>
    <sheet name="отчет за 2020г" sheetId="1" r:id="rId1"/>
  </sheets>
  <calcPr calcId="145621" calcOnSave="0"/>
</workbook>
</file>

<file path=xl/calcChain.xml><?xml version="1.0" encoding="utf-8"?>
<calcChain xmlns="http://schemas.openxmlformats.org/spreadsheetml/2006/main">
  <c r="L11" i="1" l="1"/>
  <c r="L7" i="1"/>
  <c r="L14" i="1" l="1"/>
  <c r="L28" i="1"/>
  <c r="L10" i="1"/>
  <c r="K38" i="1" l="1"/>
  <c r="K47" i="1"/>
  <c r="M41" i="1"/>
  <c r="L50" i="1"/>
  <c r="L12" i="1"/>
  <c r="K31" i="1"/>
  <c r="K12" i="1"/>
  <c r="K14" i="1"/>
  <c r="J14" i="1"/>
  <c r="M39" i="1"/>
  <c r="D39" i="1" s="1"/>
  <c r="J10" i="1"/>
  <c r="J7" i="1"/>
  <c r="M7" i="1" s="1"/>
  <c r="D41" i="1"/>
  <c r="I14" i="1"/>
  <c r="I38" i="1"/>
  <c r="I31" i="1"/>
  <c r="I19" i="1"/>
  <c r="I10" i="1"/>
  <c r="I47" i="1"/>
  <c r="H29" i="1"/>
  <c r="H28" i="1"/>
  <c r="H37" i="1"/>
  <c r="M43" i="1"/>
  <c r="D43" i="1" s="1"/>
  <c r="H38" i="1"/>
  <c r="H47" i="1" l="1"/>
  <c r="G28" i="1"/>
  <c r="G50" i="1"/>
  <c r="M10" i="1"/>
  <c r="M11" i="1"/>
  <c r="M13" i="1"/>
  <c r="M15" i="1"/>
  <c r="M16" i="1"/>
  <c r="M17" i="1"/>
  <c r="M19" i="1"/>
  <c r="M20" i="1"/>
  <c r="M21" i="1"/>
  <c r="M23" i="1"/>
  <c r="M24" i="1"/>
  <c r="M25" i="1"/>
  <c r="M27" i="1"/>
  <c r="M29" i="1"/>
  <c r="M31" i="1"/>
  <c r="M32" i="1"/>
  <c r="M34" i="1"/>
  <c r="M36" i="1"/>
  <c r="M37" i="1"/>
  <c r="M40" i="1"/>
  <c r="M45" i="1"/>
  <c r="M46" i="1"/>
  <c r="D46" i="1" s="1"/>
  <c r="M48" i="1"/>
  <c r="D48" i="1" s="1"/>
  <c r="M50" i="1"/>
  <c r="M51" i="1"/>
  <c r="D51" i="1" s="1"/>
  <c r="M52" i="1"/>
  <c r="D52" i="1" s="1"/>
  <c r="G33" i="1"/>
  <c r="G49" i="1"/>
  <c r="M49" i="1" s="1"/>
  <c r="G14" i="1"/>
  <c r="M14" i="1" s="1"/>
  <c r="G47" i="1"/>
  <c r="H26" i="1"/>
  <c r="M26" i="1" s="1"/>
  <c r="D26" i="1" s="1"/>
  <c r="E26" i="1" s="1"/>
  <c r="H42" i="1"/>
  <c r="M42" i="1" s="1"/>
  <c r="D42" i="1" s="1"/>
  <c r="F38" i="1"/>
  <c r="M38" i="1" s="1"/>
  <c r="H35" i="1"/>
  <c r="F35" i="1"/>
  <c r="F33" i="1"/>
  <c r="H30" i="1"/>
  <c r="G30" i="1"/>
  <c r="F28" i="1"/>
  <c r="I12" i="1"/>
  <c r="F12" i="1"/>
  <c r="M35" i="1" l="1"/>
  <c r="M12" i="1"/>
  <c r="M33" i="1"/>
  <c r="M30" i="1"/>
  <c r="M47" i="1"/>
  <c r="M28" i="1"/>
  <c r="D24" i="1"/>
  <c r="D40" i="1" l="1"/>
  <c r="D27" i="1" l="1"/>
  <c r="E27" i="1" s="1"/>
  <c r="L54" i="1" l="1"/>
  <c r="D31" i="1" l="1"/>
  <c r="D32" i="1"/>
  <c r="D50" i="1"/>
  <c r="D49" i="1"/>
  <c r="D30" i="1"/>
  <c r="D34" i="1"/>
  <c r="D25" i="1"/>
  <c r="E24" i="1" s="1"/>
  <c r="D36" i="1"/>
  <c r="D37" i="1"/>
  <c r="D7" i="1"/>
  <c r="D47" i="1" l="1"/>
  <c r="J54" i="1"/>
  <c r="K54" i="1"/>
  <c r="D35" i="1"/>
  <c r="H54" i="1"/>
  <c r="I54" i="1"/>
  <c r="D38" i="1"/>
  <c r="D28" i="1"/>
  <c r="D29" i="1"/>
  <c r="G54" i="1"/>
  <c r="D33" i="1"/>
  <c r="F54" i="1"/>
  <c r="M54" i="1" l="1"/>
  <c r="D44" i="1"/>
  <c r="E28" i="1" s="1"/>
  <c r="D53" i="1"/>
  <c r="E45" i="1" s="1"/>
  <c r="D23" i="1"/>
  <c r="E23" i="1" s="1"/>
  <c r="C13" i="1" l="1"/>
  <c r="C54" i="1" s="1"/>
  <c r="D8" i="1" l="1"/>
  <c r="D15" i="1" l="1"/>
  <c r="D19" i="1"/>
  <c r="E19" i="1" s="1"/>
  <c r="D17" i="1"/>
  <c r="D21" i="1"/>
  <c r="D11" i="1" l="1"/>
  <c r="D16" i="1"/>
  <c r="D20" i="1"/>
  <c r="D22" i="1" s="1"/>
  <c r="E15" i="1"/>
  <c r="M5" i="1"/>
  <c r="M8" i="1" s="1"/>
  <c r="M9" i="1"/>
  <c r="E20" i="1" l="1"/>
  <c r="E16" i="1"/>
  <c r="D18" i="1"/>
  <c r="D12" i="1"/>
  <c r="D10" i="1"/>
  <c r="D14" i="1"/>
  <c r="D13" i="1" l="1"/>
  <c r="D54" i="1" s="1"/>
  <c r="E14" i="1"/>
  <c r="D55" i="1" l="1"/>
  <c r="E10" i="1"/>
</calcChain>
</file>

<file path=xl/sharedStrings.xml><?xml version="1.0" encoding="utf-8"?>
<sst xmlns="http://schemas.openxmlformats.org/spreadsheetml/2006/main" count="80" uniqueCount="76">
  <si>
    <t>ПОСТУПЛЕНИЯ:</t>
  </si>
  <si>
    <t>ВСЕГО ДОХОДЫ:</t>
  </si>
  <si>
    <t>СТАТЬИ РАСХОДА</t>
  </si>
  <si>
    <t>Налоговые отчисления с ФОТ</t>
  </si>
  <si>
    <t>Пожертвования родителей :    через банк</t>
  </si>
  <si>
    <t>НО"ФОНД РАЗВИТИЯ МОУ "ГИМНАЗИЯ №44"</t>
  </si>
  <si>
    <t>Директор Фонда</t>
  </si>
  <si>
    <t xml:space="preserve">Бухгалтер Фонда </t>
  </si>
  <si>
    <t>Савинова С.П.</t>
  </si>
  <si>
    <t>по факту</t>
  </si>
  <si>
    <t>Подготовка материалов к конкурсам, ярмаркам</t>
  </si>
  <si>
    <t>Оплата труда работников Фонда</t>
  </si>
  <si>
    <t>9</t>
  </si>
  <si>
    <t>март</t>
  </si>
  <si>
    <t>Всего</t>
  </si>
  <si>
    <t>Электротовары</t>
  </si>
  <si>
    <t>Сантехника, сопутствующие товары</t>
  </si>
  <si>
    <t>ОТЧЕТ ПО СМЕТЕ ОБ ИСПОЛЬЗОВАНИИ ДЕНЕЖНЫХ СРЕДСТВ</t>
  </si>
  <si>
    <t xml:space="preserve">Мелкие хозтовары </t>
  </si>
  <si>
    <t>Услуги банка, прочие налоги</t>
  </si>
  <si>
    <t>2</t>
  </si>
  <si>
    <t>3</t>
  </si>
  <si>
    <t>1</t>
  </si>
  <si>
    <t>Приобретение канц.товаров</t>
  </si>
  <si>
    <t>Комарова Е.С.</t>
  </si>
  <si>
    <t>НДФЛ</t>
  </si>
  <si>
    <t>янв</t>
  </si>
  <si>
    <t>февр</t>
  </si>
  <si>
    <t>6</t>
  </si>
  <si>
    <t>апр</t>
  </si>
  <si>
    <t>май</t>
  </si>
  <si>
    <t>июнь</t>
  </si>
  <si>
    <t>4</t>
  </si>
  <si>
    <t>Выплата стипендий учащимся</t>
  </si>
  <si>
    <t>5</t>
  </si>
  <si>
    <t>Приобретение учебной  и методической литературы</t>
  </si>
  <si>
    <t xml:space="preserve">итого </t>
  </si>
  <si>
    <t>Подписка на периодические издания</t>
  </si>
  <si>
    <t>7</t>
  </si>
  <si>
    <t>СУММА</t>
  </si>
  <si>
    <t xml:space="preserve">по смете </t>
  </si>
  <si>
    <t>отклонения остаток(+)/ пере расход(-)</t>
  </si>
  <si>
    <t>10</t>
  </si>
  <si>
    <t>11</t>
  </si>
  <si>
    <t>ВСЕГО РАСХОД</t>
  </si>
  <si>
    <t>Проведение учебных и внеклассных мероприятий</t>
  </si>
  <si>
    <t>Мебель  (столы, стулья)</t>
  </si>
  <si>
    <t>Ремонтные работы</t>
  </si>
  <si>
    <t>Противогололедные материалы</t>
  </si>
  <si>
    <t>Ремонт б/косы</t>
  </si>
  <si>
    <t>Сайт /хостинг/</t>
  </si>
  <si>
    <t>Компьютерные товары</t>
  </si>
  <si>
    <t>Спортивный инвентарь</t>
  </si>
  <si>
    <t xml:space="preserve">Текущие расходы  на содержание </t>
  </si>
  <si>
    <t>Ремонт по подготовке к учебному году</t>
  </si>
  <si>
    <t>известь</t>
  </si>
  <si>
    <t>Медикаменты</t>
  </si>
  <si>
    <t>линолеум,  плинтуса</t>
  </si>
  <si>
    <t xml:space="preserve">мелкие строит.товары </t>
  </si>
  <si>
    <t>краска ВД</t>
  </si>
  <si>
    <t>эмаль,кисти, красители</t>
  </si>
  <si>
    <t>ЗА 2020 ГОД</t>
  </si>
  <si>
    <t>САЛЬДО НА 01.01.2020 Г.</t>
  </si>
  <si>
    <t>замена эл.ламп</t>
  </si>
  <si>
    <t>Спецодежда</t>
  </si>
  <si>
    <t>Посуда в столовую</t>
  </si>
  <si>
    <t>Баннеры ( к 9 МАЯ)</t>
  </si>
  <si>
    <t>САЛЬДО НА     01 .      09     . 2020  г.</t>
  </si>
  <si>
    <t>смесители</t>
  </si>
  <si>
    <t>Сетка москитн.</t>
  </si>
  <si>
    <t>Пленка  п/э</t>
  </si>
  <si>
    <t xml:space="preserve">Моющие и дез.средства </t>
  </si>
  <si>
    <t>июль/авг</t>
  </si>
  <si>
    <r>
      <t xml:space="preserve">Приобретение строительных материалов                                                                                                                                                                   </t>
    </r>
    <r>
      <rPr>
        <sz val="10"/>
        <rFont val="Arial Cyr"/>
        <charset val="204"/>
      </rPr>
      <t>(цемент,штукатурка, ровнитель и тп)</t>
    </r>
  </si>
  <si>
    <r>
      <t>Инвентарь д/уборки тер-рии</t>
    </r>
    <r>
      <rPr>
        <sz val="10"/>
        <rFont val="Arial Cyr"/>
        <charset val="204"/>
      </rPr>
      <t xml:space="preserve"> (лопаты,грабли,ведра и тп)</t>
    </r>
  </si>
  <si>
    <r>
      <t>Средства индивид.защиты</t>
    </r>
    <r>
      <rPr>
        <sz val="10"/>
        <rFont val="Arial Cyr"/>
        <charset val="204"/>
      </rPr>
      <t xml:space="preserve"> (маски, перчатки)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</si>
</sst>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1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/>
    <xf numFmtId="0" fontId="5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justify"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6" fillId="0" borderId="1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6" xfId="0" applyFont="1" applyFill="1" applyBorder="1" applyAlignment="1">
      <alignment horizontal="left" vertical="justify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6" fillId="0" borderId="7" xfId="0" applyFont="1" applyBorder="1" applyAlignment="1"/>
    <xf numFmtId="0" fontId="5" fillId="0" borderId="2" xfId="0" applyFont="1" applyBorder="1" applyAlignment="1"/>
    <xf numFmtId="0" fontId="5" fillId="0" borderId="6" xfId="0" applyFont="1" applyBorder="1" applyAlignment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2" borderId="0" xfId="0" applyFill="1"/>
    <xf numFmtId="0" fontId="6" fillId="2" borderId="0" xfId="0" applyFont="1" applyFill="1" applyBorder="1" applyAlignment="1">
      <alignment horizontal="left" vertical="justify"/>
    </xf>
    <xf numFmtId="2" fontId="0" fillId="2" borderId="0" xfId="0" applyNumberFormat="1" applyFill="1"/>
    <xf numFmtId="2" fontId="0" fillId="2" borderId="0" xfId="0" applyNumberFormat="1" applyFill="1" applyBorder="1"/>
    <xf numFmtId="0" fontId="0" fillId="2" borderId="0" xfId="0" applyFill="1" applyBorder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/>
    <xf numFmtId="0" fontId="3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11" fillId="2" borderId="2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0" xfId="0" applyFont="1" applyFill="1" applyBorder="1"/>
    <xf numFmtId="2" fontId="3" fillId="2" borderId="0" xfId="0" applyNumberFormat="1" applyFont="1" applyFill="1"/>
    <xf numFmtId="2" fontId="1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1" fillId="2" borderId="13" xfId="0" applyFont="1" applyFill="1" applyBorder="1"/>
    <xf numFmtId="2" fontId="11" fillId="2" borderId="1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justify"/>
    </xf>
    <xf numFmtId="0" fontId="0" fillId="0" borderId="4" xfId="0" applyFont="1" applyBorder="1" applyAlignment="1">
      <alignment horizontal="right" vertical="justify"/>
    </xf>
    <xf numFmtId="0" fontId="0" fillId="0" borderId="26" xfId="0" applyFont="1" applyBorder="1" applyAlignment="1">
      <alignment horizontal="right" vertical="justify"/>
    </xf>
    <xf numFmtId="0" fontId="0" fillId="0" borderId="5" xfId="0" applyFont="1" applyBorder="1" applyAlignment="1">
      <alignment horizontal="right" vertical="justify"/>
    </xf>
    <xf numFmtId="0" fontId="6" fillId="0" borderId="3" xfId="0" applyFont="1" applyBorder="1" applyAlignment="1">
      <alignment horizontal="right" vertical="justify"/>
    </xf>
    <xf numFmtId="1" fontId="6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justify"/>
    </xf>
    <xf numFmtId="0" fontId="6" fillId="0" borderId="12" xfId="0" applyFont="1" applyBorder="1" applyAlignment="1">
      <alignment horizontal="left" vertical="justify"/>
    </xf>
    <xf numFmtId="49" fontId="6" fillId="0" borderId="1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11" fillId="2" borderId="1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 vertical="justify"/>
    </xf>
    <xf numFmtId="0" fontId="9" fillId="0" borderId="3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65" fontId="11" fillId="2" borderId="13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O45" sqref="O45"/>
    </sheetView>
  </sheetViews>
  <sheetFormatPr defaultRowHeight="12.75" x14ac:dyDescent="0.2"/>
  <cols>
    <col min="1" max="1" width="3.42578125" style="59" customWidth="1"/>
    <col min="2" max="2" width="58.7109375" customWidth="1"/>
    <col min="3" max="3" width="14.7109375" style="45" customWidth="1"/>
    <col min="4" max="5" width="14.7109375" style="5" customWidth="1"/>
    <col min="6" max="12" width="8.7109375" style="76" customWidth="1"/>
    <col min="13" max="13" width="10.42578125" style="77" customWidth="1"/>
    <col min="14" max="14" width="9.140625" style="68"/>
    <col min="15" max="15" width="13.85546875" style="68" customWidth="1"/>
  </cols>
  <sheetData>
    <row r="1" spans="1:13" ht="15" x14ac:dyDescent="0.2">
      <c r="A1" s="116" t="s">
        <v>5</v>
      </c>
      <c r="B1" s="116"/>
      <c r="C1" s="116"/>
      <c r="D1" s="116"/>
      <c r="E1" s="116"/>
    </row>
    <row r="2" spans="1:13" ht="15.75" thickBot="1" x14ac:dyDescent="0.3">
      <c r="A2" s="123" t="s">
        <v>17</v>
      </c>
      <c r="B2" s="123"/>
      <c r="C2" s="123"/>
      <c r="D2" s="51" t="s">
        <v>61</v>
      </c>
      <c r="E2" s="55"/>
    </row>
    <row r="3" spans="1:13" ht="16.5" thickBot="1" x14ac:dyDescent="0.3">
      <c r="A3" s="7"/>
      <c r="B3" s="56"/>
      <c r="C3" s="127" t="s">
        <v>39</v>
      </c>
      <c r="D3" s="128"/>
      <c r="E3" s="124" t="s">
        <v>41</v>
      </c>
      <c r="F3" s="118" t="s">
        <v>26</v>
      </c>
      <c r="G3" s="119" t="s">
        <v>27</v>
      </c>
      <c r="H3" s="119" t="s">
        <v>13</v>
      </c>
      <c r="I3" s="119" t="s">
        <v>29</v>
      </c>
      <c r="J3" s="119" t="s">
        <v>30</v>
      </c>
      <c r="K3" s="119" t="s">
        <v>31</v>
      </c>
      <c r="L3" s="120" t="s">
        <v>72</v>
      </c>
      <c r="M3" s="117" t="s">
        <v>14</v>
      </c>
    </row>
    <row r="4" spans="1:13" ht="16.5" thickBot="1" x14ac:dyDescent="0.3">
      <c r="A4" s="58"/>
      <c r="B4" s="57"/>
      <c r="C4" s="39" t="s">
        <v>40</v>
      </c>
      <c r="D4" s="7" t="s">
        <v>9</v>
      </c>
      <c r="E4" s="125"/>
      <c r="F4" s="118"/>
      <c r="G4" s="119"/>
      <c r="H4" s="119"/>
      <c r="I4" s="119"/>
      <c r="J4" s="119"/>
      <c r="K4" s="119"/>
      <c r="L4" s="121"/>
      <c r="M4" s="117"/>
    </row>
    <row r="5" spans="1:13" ht="16.5" thickBot="1" x14ac:dyDescent="0.3">
      <c r="A5" s="12"/>
      <c r="B5" s="8" t="s">
        <v>62</v>
      </c>
      <c r="C5" s="31"/>
      <c r="D5" s="25">
        <v>32965.61</v>
      </c>
      <c r="E5" s="126"/>
      <c r="F5" s="118"/>
      <c r="G5" s="119"/>
      <c r="H5" s="119"/>
      <c r="I5" s="119"/>
      <c r="J5" s="119"/>
      <c r="K5" s="119"/>
      <c r="L5" s="122"/>
      <c r="M5" s="113">
        <f>D5</f>
        <v>32965.61</v>
      </c>
    </row>
    <row r="6" spans="1:13" ht="15.75" x14ac:dyDescent="0.25">
      <c r="A6" s="9"/>
      <c r="B6" s="22" t="s">
        <v>0</v>
      </c>
      <c r="C6" s="22"/>
      <c r="D6" s="7"/>
      <c r="E6" s="7"/>
      <c r="F6" s="95"/>
      <c r="G6" s="78"/>
      <c r="H6" s="78"/>
      <c r="I6" s="78"/>
      <c r="J6" s="78"/>
      <c r="K6" s="78"/>
      <c r="L6" s="78"/>
      <c r="M6" s="97"/>
    </row>
    <row r="7" spans="1:13" ht="15.75" thickBot="1" x14ac:dyDescent="0.3">
      <c r="A7" s="10">
        <v>1</v>
      </c>
      <c r="B7" s="11" t="s">
        <v>4</v>
      </c>
      <c r="C7" s="44">
        <v>2400000</v>
      </c>
      <c r="D7" s="66">
        <f>M7</f>
        <v>594884.84</v>
      </c>
      <c r="E7" s="35"/>
      <c r="F7" s="95">
        <v>196530.25</v>
      </c>
      <c r="G7" s="78">
        <v>48178</v>
      </c>
      <c r="H7" s="78">
        <v>35102</v>
      </c>
      <c r="I7" s="78">
        <v>43540.59</v>
      </c>
      <c r="J7" s="79">
        <f>244894-6740</f>
        <v>238154</v>
      </c>
      <c r="K7" s="78">
        <v>20640</v>
      </c>
      <c r="L7" s="78">
        <f>2940+9800</f>
        <v>12740</v>
      </c>
      <c r="M7" s="98">
        <f>SUM(F7:L7)</f>
        <v>594884.84</v>
      </c>
    </row>
    <row r="8" spans="1:13" ht="15.75" thickBot="1" x14ac:dyDescent="0.3">
      <c r="A8" s="12"/>
      <c r="B8" s="24" t="s">
        <v>1</v>
      </c>
      <c r="C8" s="42"/>
      <c r="D8" s="65">
        <f>SUM(D5:D7)</f>
        <v>627850.44999999995</v>
      </c>
      <c r="E8" s="41"/>
      <c r="F8" s="95"/>
      <c r="G8" s="78"/>
      <c r="H8" s="78"/>
      <c r="I8" s="78"/>
      <c r="J8" s="78"/>
      <c r="K8" s="78"/>
      <c r="L8" s="78"/>
      <c r="M8" s="113">
        <f>SUM(M5:M7)</f>
        <v>627850.44999999995</v>
      </c>
    </row>
    <row r="9" spans="1:13" ht="15.75" thickBot="1" x14ac:dyDescent="0.3">
      <c r="A9" s="14"/>
      <c r="B9" s="23" t="s">
        <v>2</v>
      </c>
      <c r="C9" s="23"/>
      <c r="D9" s="2"/>
      <c r="E9" s="34"/>
      <c r="F9" s="95"/>
      <c r="G9" s="78"/>
      <c r="H9" s="78"/>
      <c r="I9" s="78"/>
      <c r="J9" s="78"/>
      <c r="K9" s="78"/>
      <c r="L9" s="78"/>
      <c r="M9" s="113">
        <f>SUM(F9:H9)</f>
        <v>0</v>
      </c>
    </row>
    <row r="10" spans="1:13" ht="15.75" thickBot="1" x14ac:dyDescent="0.3">
      <c r="A10" s="36" t="s">
        <v>22</v>
      </c>
      <c r="B10" s="19" t="s">
        <v>11</v>
      </c>
      <c r="C10" s="114">
        <v>140000</v>
      </c>
      <c r="D10" s="4">
        <f>M10</f>
        <v>72101.25</v>
      </c>
      <c r="E10" s="129">
        <f>C13-D13</f>
        <v>83050.75</v>
      </c>
      <c r="F10" s="95">
        <v>4806.75</v>
      </c>
      <c r="G10" s="78">
        <v>9613.5</v>
      </c>
      <c r="H10" s="79">
        <v>14420.25</v>
      </c>
      <c r="I10" s="79">
        <f>1696.5+3110.25</f>
        <v>4806.75</v>
      </c>
      <c r="J10" s="79">
        <f>17530.5+1696.5</f>
        <v>19227</v>
      </c>
      <c r="K10" s="79">
        <v>4806.75</v>
      </c>
      <c r="L10" s="79">
        <f>3*4806.75</f>
        <v>14420.25</v>
      </c>
      <c r="M10" s="113">
        <f>SUM(F10:L10)</f>
        <v>72101.25</v>
      </c>
    </row>
    <row r="11" spans="1:13" ht="15.75" thickBot="1" x14ac:dyDescent="0.25">
      <c r="A11" s="38"/>
      <c r="B11" s="21" t="s">
        <v>25</v>
      </c>
      <c r="C11" s="115"/>
      <c r="D11" s="4">
        <f>M11</f>
        <v>11493</v>
      </c>
      <c r="E11" s="130"/>
      <c r="F11" s="95">
        <v>4309.5</v>
      </c>
      <c r="G11" s="78"/>
      <c r="H11" s="79"/>
      <c r="I11" s="79">
        <v>1859</v>
      </c>
      <c r="J11" s="79">
        <v>2451</v>
      </c>
      <c r="K11" s="79"/>
      <c r="L11" s="79">
        <f>2*1437-0.5</f>
        <v>2873.5</v>
      </c>
      <c r="M11" s="141">
        <f>SUM(F11:L11)</f>
        <v>11493</v>
      </c>
    </row>
    <row r="12" spans="1:13" ht="15.75" thickBot="1" x14ac:dyDescent="0.3">
      <c r="A12" s="16" t="s">
        <v>20</v>
      </c>
      <c r="B12" s="17" t="s">
        <v>3</v>
      </c>
      <c r="C12" s="53">
        <v>50000</v>
      </c>
      <c r="D12" s="4">
        <f>M12</f>
        <v>23355</v>
      </c>
      <c r="E12" s="130"/>
      <c r="F12" s="95">
        <f>9945+50</f>
        <v>9995</v>
      </c>
      <c r="G12" s="78"/>
      <c r="H12" s="78"/>
      <c r="I12" s="78">
        <f>20+4290</f>
        <v>4310</v>
      </c>
      <c r="J12" s="78"/>
      <c r="K12" s="78">
        <f>30+5655</f>
        <v>5685</v>
      </c>
      <c r="L12" s="78">
        <f>3315+50</f>
        <v>3365</v>
      </c>
      <c r="M12" s="98">
        <f>SUM(F12:L12)</f>
        <v>23355</v>
      </c>
    </row>
    <row r="13" spans="1:13" ht="15.75" thickBot="1" x14ac:dyDescent="0.3">
      <c r="A13" s="16"/>
      <c r="B13" s="30" t="s">
        <v>36</v>
      </c>
      <c r="C13" s="43">
        <f>SUM(C10:C12)</f>
        <v>190000</v>
      </c>
      <c r="D13" s="63">
        <f>SUM(D10:D12)</f>
        <v>106949.25</v>
      </c>
      <c r="E13" s="131"/>
      <c r="F13" s="95"/>
      <c r="G13" s="78"/>
      <c r="H13" s="78"/>
      <c r="I13" s="78"/>
      <c r="J13" s="78"/>
      <c r="K13" s="78"/>
      <c r="L13" s="78"/>
      <c r="M13" s="98">
        <f>SUM(F13:L13)</f>
        <v>0</v>
      </c>
    </row>
    <row r="14" spans="1:13" ht="15.75" thickBot="1" x14ac:dyDescent="0.3">
      <c r="A14" s="16" t="s">
        <v>21</v>
      </c>
      <c r="B14" s="17" t="s">
        <v>19</v>
      </c>
      <c r="C14" s="75">
        <v>40000</v>
      </c>
      <c r="D14" s="63">
        <f t="shared" ref="D14:D21" si="0">M14</f>
        <v>13444</v>
      </c>
      <c r="E14" s="1">
        <f>C14-D14</f>
        <v>26556</v>
      </c>
      <c r="F14" s="95">
        <v>2054.0300000000002</v>
      </c>
      <c r="G14" s="78">
        <f>2022.06+250</f>
        <v>2272.06</v>
      </c>
      <c r="H14" s="78">
        <v>2223.09</v>
      </c>
      <c r="I14" s="78">
        <f>4000+1761.55+230</f>
        <v>5991.55</v>
      </c>
      <c r="J14" s="78">
        <f>200+229.5+6950+102.65-6740</f>
        <v>742.14999999999964</v>
      </c>
      <c r="K14" s="78">
        <f>64.03</f>
        <v>64.03</v>
      </c>
      <c r="L14" s="78">
        <f>3*24.03+25</f>
        <v>97.09</v>
      </c>
      <c r="M14" s="113">
        <f>SUM(F14:L14)</f>
        <v>13444</v>
      </c>
    </row>
    <row r="15" spans="1:13" ht="15.75" thickBot="1" x14ac:dyDescent="0.3">
      <c r="A15" s="27" t="s">
        <v>32</v>
      </c>
      <c r="B15" s="28" t="s">
        <v>33</v>
      </c>
      <c r="C15" s="61">
        <v>40000</v>
      </c>
      <c r="D15" s="63">
        <f t="shared" si="0"/>
        <v>0</v>
      </c>
      <c r="E15" s="40">
        <f>C15-D15</f>
        <v>40000</v>
      </c>
      <c r="F15" s="95"/>
      <c r="G15" s="78"/>
      <c r="H15" s="78"/>
      <c r="I15" s="78"/>
      <c r="J15" s="78"/>
      <c r="K15" s="78"/>
      <c r="L15" s="78"/>
      <c r="M15" s="113">
        <f>SUM(F15:L15)</f>
        <v>0</v>
      </c>
    </row>
    <row r="16" spans="1:13" ht="15.75" thickBot="1" x14ac:dyDescent="0.25">
      <c r="A16" s="135" t="s">
        <v>34</v>
      </c>
      <c r="B16" s="17" t="s">
        <v>35</v>
      </c>
      <c r="C16" s="114">
        <v>350000</v>
      </c>
      <c r="D16" s="26">
        <f t="shared" si="0"/>
        <v>0</v>
      </c>
      <c r="E16" s="129">
        <f>C16-D16-D17</f>
        <v>350000</v>
      </c>
      <c r="F16" s="95"/>
      <c r="G16" s="78"/>
      <c r="H16" s="78"/>
      <c r="I16" s="78"/>
      <c r="J16" s="78"/>
      <c r="K16" s="78"/>
      <c r="L16" s="78"/>
      <c r="M16" s="113">
        <f>SUM(F16:L16)</f>
        <v>0</v>
      </c>
    </row>
    <row r="17" spans="1:13" ht="15.75" thickBot="1" x14ac:dyDescent="0.25">
      <c r="A17" s="136"/>
      <c r="B17" s="33" t="s">
        <v>37</v>
      </c>
      <c r="C17" s="115"/>
      <c r="D17" s="41">
        <f t="shared" si="0"/>
        <v>0</v>
      </c>
      <c r="E17" s="131"/>
      <c r="F17" s="95"/>
      <c r="G17" s="78"/>
      <c r="H17" s="78"/>
      <c r="I17" s="78"/>
      <c r="J17" s="78"/>
      <c r="K17" s="78"/>
      <c r="L17" s="78"/>
      <c r="M17" s="113">
        <f>SUM(F17:L17)</f>
        <v>0</v>
      </c>
    </row>
    <row r="18" spans="1:13" ht="15.75" thickBot="1" x14ac:dyDescent="0.25">
      <c r="A18" s="38"/>
      <c r="B18" s="30" t="s">
        <v>36</v>
      </c>
      <c r="C18" s="52"/>
      <c r="D18" s="54">
        <f>SUM(D16:D17)</f>
        <v>0</v>
      </c>
      <c r="E18" s="96"/>
      <c r="F18" s="95"/>
      <c r="G18" s="78"/>
      <c r="H18" s="78"/>
      <c r="I18" s="78"/>
      <c r="J18" s="78"/>
      <c r="K18" s="78"/>
      <c r="L18" s="78"/>
      <c r="M18" s="113"/>
    </row>
    <row r="19" spans="1:13" ht="15.75" thickBot="1" x14ac:dyDescent="0.25">
      <c r="A19" s="38" t="s">
        <v>28</v>
      </c>
      <c r="B19" s="33" t="s">
        <v>23</v>
      </c>
      <c r="C19" s="62">
        <v>50000</v>
      </c>
      <c r="D19" s="26">
        <f t="shared" si="0"/>
        <v>1134.02</v>
      </c>
      <c r="E19" s="40">
        <f>C19-D19</f>
        <v>48865.98</v>
      </c>
      <c r="F19" s="95"/>
      <c r="G19" s="78"/>
      <c r="H19" s="78"/>
      <c r="I19" s="78">
        <f>290</f>
        <v>290</v>
      </c>
      <c r="J19" s="78"/>
      <c r="K19" s="78">
        <v>844.02</v>
      </c>
      <c r="L19" s="78"/>
      <c r="M19" s="113">
        <f>SUM(F19:L19)</f>
        <v>1134.02</v>
      </c>
    </row>
    <row r="20" spans="1:13" ht="15" x14ac:dyDescent="0.25">
      <c r="A20" s="46" t="s">
        <v>38</v>
      </c>
      <c r="B20" s="108" t="s">
        <v>51</v>
      </c>
      <c r="C20" s="114">
        <v>80000</v>
      </c>
      <c r="D20" s="4">
        <f t="shared" si="0"/>
        <v>999</v>
      </c>
      <c r="E20" s="129">
        <f>C20-D22</f>
        <v>71801</v>
      </c>
      <c r="F20" s="95"/>
      <c r="G20" s="78"/>
      <c r="H20" s="78"/>
      <c r="I20" s="78"/>
      <c r="J20" s="78">
        <v>999</v>
      </c>
      <c r="K20" s="78"/>
      <c r="L20" s="78"/>
      <c r="M20" s="113">
        <f>SUM(F20:L20)</f>
        <v>999</v>
      </c>
    </row>
    <row r="21" spans="1:13" ht="15.75" thickBot="1" x14ac:dyDescent="0.3">
      <c r="A21" s="47"/>
      <c r="B21" s="18" t="s">
        <v>50</v>
      </c>
      <c r="C21" s="137"/>
      <c r="D21" s="3">
        <f t="shared" si="0"/>
        <v>7200</v>
      </c>
      <c r="E21" s="130"/>
      <c r="F21" s="95"/>
      <c r="G21" s="78"/>
      <c r="H21" s="78"/>
      <c r="I21" s="78"/>
      <c r="J21" s="78">
        <v>7200</v>
      </c>
      <c r="K21" s="78"/>
      <c r="L21" s="78"/>
      <c r="M21" s="113">
        <f>SUM(F21:L21)</f>
        <v>7200</v>
      </c>
    </row>
    <row r="22" spans="1:13" ht="15.75" thickBot="1" x14ac:dyDescent="0.3">
      <c r="A22" s="48"/>
      <c r="B22" s="49" t="s">
        <v>36</v>
      </c>
      <c r="C22" s="115"/>
      <c r="D22" s="64">
        <f>SUM(D20:D21)</f>
        <v>8199</v>
      </c>
      <c r="E22" s="131"/>
      <c r="F22" s="95"/>
      <c r="G22" s="78"/>
      <c r="H22" s="78"/>
      <c r="I22" s="78"/>
      <c r="J22" s="78"/>
      <c r="K22" s="78"/>
      <c r="L22" s="78"/>
      <c r="M22" s="113"/>
    </row>
    <row r="23" spans="1:13" ht="15.75" thickBot="1" x14ac:dyDescent="0.25">
      <c r="A23" s="74">
        <v>8</v>
      </c>
      <c r="B23" s="17" t="s">
        <v>46</v>
      </c>
      <c r="C23" s="73">
        <v>400000</v>
      </c>
      <c r="D23" s="4">
        <f>M23</f>
        <v>5998</v>
      </c>
      <c r="E23" s="96">
        <f>C23-D23</f>
        <v>394002</v>
      </c>
      <c r="F23" s="95"/>
      <c r="G23" s="78"/>
      <c r="H23" s="78"/>
      <c r="I23" s="78"/>
      <c r="J23" s="78"/>
      <c r="K23" s="78">
        <v>5998</v>
      </c>
      <c r="L23" s="78"/>
      <c r="M23" s="113">
        <f>SUM(F23:L23)</f>
        <v>5998</v>
      </c>
    </row>
    <row r="24" spans="1:13" ht="15.75" thickBot="1" x14ac:dyDescent="0.25">
      <c r="A24" s="36" t="s">
        <v>12</v>
      </c>
      <c r="B24" s="17" t="s">
        <v>45</v>
      </c>
      <c r="C24" s="114">
        <v>30000</v>
      </c>
      <c r="D24" s="4">
        <f>M24</f>
        <v>0</v>
      </c>
      <c r="E24" s="129">
        <f>C24-D24-D25</f>
        <v>23878</v>
      </c>
      <c r="F24" s="95"/>
      <c r="G24" s="78"/>
      <c r="H24" s="78"/>
      <c r="I24" s="78"/>
      <c r="J24" s="78"/>
      <c r="K24" s="78"/>
      <c r="L24" s="78"/>
      <c r="M24" s="113">
        <f>SUM(F24:L24)</f>
        <v>0</v>
      </c>
    </row>
    <row r="25" spans="1:13" ht="15.75" thickBot="1" x14ac:dyDescent="0.25">
      <c r="A25" s="109"/>
      <c r="B25" s="111" t="s">
        <v>66</v>
      </c>
      <c r="C25" s="115"/>
      <c r="D25" s="106">
        <f>M25</f>
        <v>6122</v>
      </c>
      <c r="E25" s="131"/>
      <c r="F25" s="95"/>
      <c r="G25" s="78"/>
      <c r="H25" s="78">
        <v>6122</v>
      </c>
      <c r="I25" s="78"/>
      <c r="J25" s="78"/>
      <c r="K25" s="78"/>
      <c r="L25" s="78"/>
      <c r="M25" s="113">
        <f>SUM(F25:L25)</f>
        <v>6122</v>
      </c>
    </row>
    <row r="26" spans="1:13" ht="15.75" thickBot="1" x14ac:dyDescent="0.25">
      <c r="A26" s="109" t="s">
        <v>42</v>
      </c>
      <c r="B26" s="18" t="s">
        <v>10</v>
      </c>
      <c r="C26" s="75">
        <v>40000</v>
      </c>
      <c r="D26" s="106">
        <f>M26</f>
        <v>7450</v>
      </c>
      <c r="E26" s="110">
        <f>C26-D26</f>
        <v>32550</v>
      </c>
      <c r="F26" s="95"/>
      <c r="G26" s="78"/>
      <c r="H26" s="78">
        <f>3400+4050</f>
        <v>7450</v>
      </c>
      <c r="I26" s="78"/>
      <c r="J26" s="78"/>
      <c r="K26" s="78"/>
      <c r="L26" s="78"/>
      <c r="M26" s="113">
        <f>SUM(F26:L26)</f>
        <v>7450</v>
      </c>
    </row>
    <row r="27" spans="1:13" ht="15.75" thickBot="1" x14ac:dyDescent="0.3">
      <c r="A27" s="37" t="s">
        <v>43</v>
      </c>
      <c r="B27" s="19" t="s">
        <v>52</v>
      </c>
      <c r="C27" s="99">
        <v>50000</v>
      </c>
      <c r="D27" s="4">
        <f>M27</f>
        <v>0</v>
      </c>
      <c r="E27" s="1">
        <f>C27-D27</f>
        <v>50000</v>
      </c>
      <c r="F27" s="95"/>
      <c r="G27" s="78"/>
      <c r="H27" s="78"/>
      <c r="I27" s="78"/>
      <c r="J27" s="78"/>
      <c r="K27" s="78"/>
      <c r="L27" s="78"/>
      <c r="M27" s="113">
        <f>SUM(F27:L27)</f>
        <v>0</v>
      </c>
    </row>
    <row r="28" spans="1:13" ht="15.95" customHeight="1" thickBot="1" x14ac:dyDescent="0.25">
      <c r="A28" s="132">
        <v>12</v>
      </c>
      <c r="B28" s="15" t="s">
        <v>53</v>
      </c>
      <c r="C28" s="114">
        <v>400000</v>
      </c>
      <c r="D28" s="4">
        <f t="shared" ref="D28:D36" si="1">M28</f>
        <v>20909.989999999998</v>
      </c>
      <c r="E28" s="129">
        <f>C28-D44</f>
        <v>281960.56</v>
      </c>
      <c r="F28" s="95">
        <f>8398+400</f>
        <v>8798</v>
      </c>
      <c r="G28" s="78">
        <f>142.59</f>
        <v>142.59</v>
      </c>
      <c r="H28" s="78">
        <f>581.4</f>
        <v>581.4</v>
      </c>
      <c r="I28" s="78"/>
      <c r="J28" s="78"/>
      <c r="K28" s="78">
        <v>4600</v>
      </c>
      <c r="L28" s="78">
        <f>5000+1788</f>
        <v>6788</v>
      </c>
      <c r="M28" s="113">
        <f>SUM(F28:L28)</f>
        <v>20909.989999999998</v>
      </c>
    </row>
    <row r="29" spans="1:13" ht="15.95" customHeight="1" thickBot="1" x14ac:dyDescent="0.25">
      <c r="A29" s="133"/>
      <c r="B29" s="15" t="s">
        <v>15</v>
      </c>
      <c r="C29" s="137"/>
      <c r="D29" s="4">
        <f t="shared" si="1"/>
        <v>5306.03</v>
      </c>
      <c r="E29" s="130"/>
      <c r="F29" s="95"/>
      <c r="G29" s="78"/>
      <c r="H29" s="78">
        <f>493+4189.03</f>
        <v>4682.03</v>
      </c>
      <c r="I29" s="78">
        <v>624</v>
      </c>
      <c r="J29" s="78"/>
      <c r="K29" s="78"/>
      <c r="L29" s="78"/>
      <c r="M29" s="113">
        <f>SUM(F29:L29)</f>
        <v>5306.03</v>
      </c>
    </row>
    <row r="30" spans="1:13" ht="14.1" customHeight="1" thickBot="1" x14ac:dyDescent="0.25">
      <c r="A30" s="133"/>
      <c r="B30" s="100" t="s">
        <v>63</v>
      </c>
      <c r="C30" s="137"/>
      <c r="D30" s="4">
        <f t="shared" si="1"/>
        <v>24689.52</v>
      </c>
      <c r="E30" s="130"/>
      <c r="F30" s="95">
        <v>6625.5</v>
      </c>
      <c r="G30" s="78">
        <f>7950.6</f>
        <v>7950.6</v>
      </c>
      <c r="H30" s="78">
        <f>5878.32+1339.98</f>
        <v>7218.2999999999993</v>
      </c>
      <c r="I30" s="78">
        <v>2895.12</v>
      </c>
      <c r="J30" s="78"/>
      <c r="K30" s="78"/>
      <c r="L30" s="78"/>
      <c r="M30" s="113">
        <f>SUM(F30:L30)</f>
        <v>24689.52</v>
      </c>
    </row>
    <row r="31" spans="1:13" ht="15.95" customHeight="1" thickBot="1" x14ac:dyDescent="0.25">
      <c r="A31" s="133"/>
      <c r="B31" s="15" t="s">
        <v>16</v>
      </c>
      <c r="C31" s="137"/>
      <c r="D31" s="4">
        <f t="shared" si="1"/>
        <v>1077</v>
      </c>
      <c r="E31" s="130"/>
      <c r="F31" s="95"/>
      <c r="G31" s="78"/>
      <c r="H31" s="78"/>
      <c r="I31" s="78">
        <f>215</f>
        <v>215</v>
      </c>
      <c r="J31" s="78"/>
      <c r="K31" s="78">
        <f>862</f>
        <v>862</v>
      </c>
      <c r="L31" s="78"/>
      <c r="M31" s="113">
        <f>SUM(F31:L31)</f>
        <v>1077</v>
      </c>
    </row>
    <row r="32" spans="1:13" ht="14.1" customHeight="1" thickBot="1" x14ac:dyDescent="0.25">
      <c r="A32" s="133"/>
      <c r="B32" s="107" t="s">
        <v>68</v>
      </c>
      <c r="C32" s="137"/>
      <c r="D32" s="4">
        <f t="shared" si="1"/>
        <v>5126</v>
      </c>
      <c r="E32" s="130"/>
      <c r="F32" s="95"/>
      <c r="G32" s="78">
        <v>5126</v>
      </c>
      <c r="H32" s="78"/>
      <c r="I32" s="78"/>
      <c r="J32" s="78"/>
      <c r="K32" s="78"/>
      <c r="L32" s="78"/>
      <c r="M32" s="113">
        <f>SUM(F32:L32)</f>
        <v>5126</v>
      </c>
    </row>
    <row r="33" spans="1:15" ht="15.95" customHeight="1" thickBot="1" x14ac:dyDescent="0.25">
      <c r="A33" s="133"/>
      <c r="B33" s="17" t="s">
        <v>18</v>
      </c>
      <c r="C33" s="137"/>
      <c r="D33" s="4">
        <f t="shared" si="1"/>
        <v>896.8</v>
      </c>
      <c r="E33" s="130"/>
      <c r="F33" s="95">
        <f>192+79.8</f>
        <v>271.8</v>
      </c>
      <c r="G33" s="78">
        <f>89+90+103+265+50+28</f>
        <v>625</v>
      </c>
      <c r="H33" s="78"/>
      <c r="I33" s="78"/>
      <c r="J33" s="78"/>
      <c r="K33" s="78"/>
      <c r="L33" s="78"/>
      <c r="M33" s="113">
        <f>SUM(F33:L33)</f>
        <v>896.8</v>
      </c>
    </row>
    <row r="34" spans="1:15" ht="15.95" customHeight="1" thickBot="1" x14ac:dyDescent="0.25">
      <c r="A34" s="133"/>
      <c r="B34" s="17" t="s">
        <v>48</v>
      </c>
      <c r="C34" s="137"/>
      <c r="D34" s="4">
        <f t="shared" si="1"/>
        <v>2810</v>
      </c>
      <c r="E34" s="130"/>
      <c r="F34" s="95"/>
      <c r="G34" s="78">
        <v>1560</v>
      </c>
      <c r="H34" s="78">
        <v>1250</v>
      </c>
      <c r="I34" s="78"/>
      <c r="J34" s="78"/>
      <c r="K34" s="78"/>
      <c r="L34" s="78"/>
      <c r="M34" s="113">
        <f>SUM(F34:L34)</f>
        <v>2810</v>
      </c>
    </row>
    <row r="35" spans="1:15" ht="15.95" customHeight="1" thickBot="1" x14ac:dyDescent="0.25">
      <c r="A35" s="133"/>
      <c r="B35" s="18" t="s">
        <v>74</v>
      </c>
      <c r="C35" s="137"/>
      <c r="D35" s="4">
        <f t="shared" si="1"/>
        <v>8109.2</v>
      </c>
      <c r="E35" s="130"/>
      <c r="F35" s="95">
        <f>3416.2+3705</f>
        <v>7121.2</v>
      </c>
      <c r="G35" s="78"/>
      <c r="H35" s="78">
        <f>684+304</f>
        <v>988</v>
      </c>
      <c r="I35" s="78"/>
      <c r="J35" s="78"/>
      <c r="K35" s="78"/>
      <c r="L35" s="78"/>
      <c r="M35" s="113">
        <f>SUM(F35:L35)</f>
        <v>8109.2</v>
      </c>
    </row>
    <row r="36" spans="1:15" ht="15.95" customHeight="1" thickBot="1" x14ac:dyDescent="0.25">
      <c r="A36" s="133"/>
      <c r="B36" s="18" t="s">
        <v>56</v>
      </c>
      <c r="C36" s="137"/>
      <c r="D36" s="4">
        <f t="shared" si="1"/>
        <v>4326</v>
      </c>
      <c r="E36" s="130"/>
      <c r="F36" s="95">
        <v>4326</v>
      </c>
      <c r="G36" s="78"/>
      <c r="H36" s="78"/>
      <c r="I36" s="78"/>
      <c r="J36" s="78"/>
      <c r="K36" s="78"/>
      <c r="L36" s="78"/>
      <c r="M36" s="113">
        <f>SUM(F36:L36)</f>
        <v>4326</v>
      </c>
    </row>
    <row r="37" spans="1:15" ht="15.95" customHeight="1" thickBot="1" x14ac:dyDescent="0.3">
      <c r="A37" s="133"/>
      <c r="B37" s="67" t="s">
        <v>70</v>
      </c>
      <c r="C37" s="137"/>
      <c r="D37" s="4">
        <f t="shared" ref="D37:D43" si="2">M37</f>
        <v>5182</v>
      </c>
      <c r="E37" s="130"/>
      <c r="F37" s="95"/>
      <c r="G37" s="78"/>
      <c r="H37" s="78">
        <f>582</f>
        <v>582</v>
      </c>
      <c r="I37" s="78"/>
      <c r="J37" s="78"/>
      <c r="K37" s="78">
        <v>4600</v>
      </c>
      <c r="L37" s="78"/>
      <c r="M37" s="113">
        <f>SUM(F37:L37)</f>
        <v>5182</v>
      </c>
    </row>
    <row r="38" spans="1:15" ht="15.95" customHeight="1" thickBot="1" x14ac:dyDescent="0.25">
      <c r="A38" s="133"/>
      <c r="B38" s="18" t="s">
        <v>71</v>
      </c>
      <c r="C38" s="137"/>
      <c r="D38" s="50">
        <f t="shared" si="2"/>
        <v>9823.4000000000015</v>
      </c>
      <c r="E38" s="130"/>
      <c r="F38" s="95">
        <f>5745.6</f>
        <v>5745.6</v>
      </c>
      <c r="G38" s="78"/>
      <c r="H38" s="78">
        <f>366.8+2812</f>
        <v>3178.8</v>
      </c>
      <c r="I38" s="78">
        <f>120+110</f>
        <v>230</v>
      </c>
      <c r="J38" s="112"/>
      <c r="K38" s="78">
        <f>945-138-138</f>
        <v>669</v>
      </c>
      <c r="L38" s="78"/>
      <c r="M38" s="113">
        <f>SUM(F38:L38)</f>
        <v>9823.4000000000015</v>
      </c>
      <c r="O38" s="69"/>
    </row>
    <row r="39" spans="1:15" ht="15.95" customHeight="1" thickBot="1" x14ac:dyDescent="0.25">
      <c r="A39" s="133"/>
      <c r="B39" s="18" t="s">
        <v>75</v>
      </c>
      <c r="C39" s="137"/>
      <c r="D39" s="50">
        <f t="shared" si="2"/>
        <v>7583.8</v>
      </c>
      <c r="E39" s="130"/>
      <c r="F39" s="95"/>
      <c r="G39" s="78"/>
      <c r="H39" s="78"/>
      <c r="I39" s="142"/>
      <c r="J39" s="79">
        <v>4790.8</v>
      </c>
      <c r="K39" s="95"/>
      <c r="L39" s="78">
        <v>2793</v>
      </c>
      <c r="M39" s="113">
        <f>SUM(F39:L39)</f>
        <v>7583.8</v>
      </c>
      <c r="O39" s="69"/>
    </row>
    <row r="40" spans="1:15" ht="15.95" customHeight="1" thickBot="1" x14ac:dyDescent="0.25">
      <c r="A40" s="133"/>
      <c r="B40" s="18" t="s">
        <v>64</v>
      </c>
      <c r="C40" s="137"/>
      <c r="D40" s="50">
        <f t="shared" si="2"/>
        <v>11886</v>
      </c>
      <c r="E40" s="130"/>
      <c r="F40" s="95">
        <v>11886</v>
      </c>
      <c r="G40" s="78"/>
      <c r="H40" s="78"/>
      <c r="I40" s="78"/>
      <c r="J40" s="78"/>
      <c r="K40" s="78"/>
      <c r="L40" s="78"/>
      <c r="M40" s="113">
        <f>SUM(F40:L40)</f>
        <v>11886</v>
      </c>
      <c r="O40" s="69"/>
    </row>
    <row r="41" spans="1:15" ht="15.95" customHeight="1" thickBot="1" x14ac:dyDescent="0.25">
      <c r="A41" s="133"/>
      <c r="B41" s="17" t="s">
        <v>49</v>
      </c>
      <c r="C41" s="137"/>
      <c r="D41" s="50">
        <f t="shared" si="2"/>
        <v>2043</v>
      </c>
      <c r="E41" s="130"/>
      <c r="F41" s="95"/>
      <c r="G41" s="78"/>
      <c r="H41" s="78"/>
      <c r="I41" s="78"/>
      <c r="J41" s="78"/>
      <c r="K41" s="78"/>
      <c r="L41" s="78">
        <v>2043</v>
      </c>
      <c r="M41" s="113">
        <f>SUM(F41:L41)</f>
        <v>2043</v>
      </c>
      <c r="O41" s="69"/>
    </row>
    <row r="42" spans="1:15" ht="15.95" customHeight="1" thickBot="1" x14ac:dyDescent="0.25">
      <c r="A42" s="133"/>
      <c r="B42" s="18" t="s">
        <v>65</v>
      </c>
      <c r="C42" s="137"/>
      <c r="D42" s="50">
        <f t="shared" si="2"/>
        <v>5244</v>
      </c>
      <c r="E42" s="130"/>
      <c r="F42" s="95"/>
      <c r="G42" s="78">
        <v>690</v>
      </c>
      <c r="H42" s="78">
        <f>4554</f>
        <v>4554</v>
      </c>
      <c r="I42" s="78"/>
      <c r="J42" s="78"/>
      <c r="K42" s="78"/>
      <c r="L42" s="78"/>
      <c r="M42" s="113">
        <f>SUM(F42:L42)</f>
        <v>5244</v>
      </c>
      <c r="O42" s="69"/>
    </row>
    <row r="43" spans="1:15" ht="15.95" customHeight="1" thickBot="1" x14ac:dyDescent="0.25">
      <c r="A43" s="133"/>
      <c r="B43" s="18" t="s">
        <v>69</v>
      </c>
      <c r="C43" s="137"/>
      <c r="D43" s="50">
        <f t="shared" si="2"/>
        <v>3026.7</v>
      </c>
      <c r="E43" s="130"/>
      <c r="F43" s="95"/>
      <c r="G43" s="78"/>
      <c r="H43" s="78">
        <v>3026.7</v>
      </c>
      <c r="I43" s="78"/>
      <c r="J43" s="78"/>
      <c r="K43" s="78"/>
      <c r="L43" s="78"/>
      <c r="M43" s="113">
        <f>SUM(F43:L43)</f>
        <v>3026.7</v>
      </c>
      <c r="O43" s="69"/>
    </row>
    <row r="44" spans="1:15" ht="15.95" customHeight="1" thickBot="1" x14ac:dyDescent="0.3">
      <c r="A44" s="134"/>
      <c r="B44" s="30" t="s">
        <v>36</v>
      </c>
      <c r="C44" s="115"/>
      <c r="D44" s="65">
        <f>SUM(D28:D43)</f>
        <v>118039.44</v>
      </c>
      <c r="E44" s="131"/>
      <c r="F44" s="95"/>
      <c r="G44" s="78"/>
      <c r="H44" s="78"/>
      <c r="I44" s="78"/>
      <c r="J44" s="78"/>
      <c r="K44" s="78"/>
      <c r="L44" s="78"/>
      <c r="M44" s="113"/>
      <c r="O44" s="69"/>
    </row>
    <row r="45" spans="1:15" ht="15.75" thickBot="1" x14ac:dyDescent="0.25">
      <c r="A45" s="138">
        <v>13</v>
      </c>
      <c r="B45" s="18" t="s">
        <v>54</v>
      </c>
      <c r="C45" s="114">
        <v>730000</v>
      </c>
      <c r="D45" s="3"/>
      <c r="E45" s="129">
        <f>C45-D53</f>
        <v>537530.55000000005</v>
      </c>
      <c r="F45" s="95"/>
      <c r="G45" s="78"/>
      <c r="H45" s="78"/>
      <c r="I45" s="78"/>
      <c r="J45" s="78"/>
      <c r="K45" s="78"/>
      <c r="L45" s="78"/>
      <c r="M45" s="113">
        <f>SUM(F45:L45)</f>
        <v>0</v>
      </c>
    </row>
    <row r="46" spans="1:15" ht="28.5" thickBot="1" x14ac:dyDescent="0.25">
      <c r="A46" s="139"/>
      <c r="B46" s="104" t="s">
        <v>73</v>
      </c>
      <c r="C46" s="137"/>
      <c r="D46" s="4">
        <f t="shared" ref="D46:D52" si="3">M46</f>
        <v>5315</v>
      </c>
      <c r="E46" s="130"/>
      <c r="F46" s="95"/>
      <c r="G46" s="78"/>
      <c r="H46" s="78"/>
      <c r="I46" s="78"/>
      <c r="J46" s="78"/>
      <c r="K46" s="78">
        <v>5315</v>
      </c>
      <c r="L46" s="78"/>
      <c r="M46" s="113">
        <f>SUM(F46:L46)</f>
        <v>5315</v>
      </c>
    </row>
    <row r="47" spans="1:15" ht="14.1" customHeight="1" thickBot="1" x14ac:dyDescent="0.25">
      <c r="A47" s="139"/>
      <c r="B47" s="102" t="s">
        <v>60</v>
      </c>
      <c r="C47" s="137"/>
      <c r="D47" s="4">
        <f t="shared" si="3"/>
        <v>4154.75</v>
      </c>
      <c r="E47" s="130"/>
      <c r="F47" s="95"/>
      <c r="G47" s="78">
        <f>590</f>
        <v>590</v>
      </c>
      <c r="H47" s="78">
        <f>190</f>
        <v>190</v>
      </c>
      <c r="I47" s="78">
        <f>4317.75-2660</f>
        <v>1657.75</v>
      </c>
      <c r="J47" s="78"/>
      <c r="K47" s="78">
        <f>1441+138+138</f>
        <v>1717</v>
      </c>
      <c r="L47" s="78"/>
      <c r="M47" s="113">
        <f>SUM(F47:L47)</f>
        <v>4154.75</v>
      </c>
    </row>
    <row r="48" spans="1:15" ht="14.1" customHeight="1" thickBot="1" x14ac:dyDescent="0.25">
      <c r="A48" s="139"/>
      <c r="B48" s="102" t="s">
        <v>59</v>
      </c>
      <c r="C48" s="137"/>
      <c r="D48" s="4">
        <f t="shared" si="3"/>
        <v>2200</v>
      </c>
      <c r="E48" s="130"/>
      <c r="F48" s="95"/>
      <c r="G48" s="78"/>
      <c r="H48" s="78">
        <v>2200</v>
      </c>
      <c r="I48" s="78"/>
      <c r="J48" s="78"/>
      <c r="K48" s="78"/>
      <c r="L48" s="78"/>
      <c r="M48" s="113">
        <f>SUM(F48:L48)</f>
        <v>2200</v>
      </c>
    </row>
    <row r="49" spans="1:15" ht="14.1" customHeight="1" thickBot="1" x14ac:dyDescent="0.25">
      <c r="A49" s="139"/>
      <c r="B49" s="101" t="s">
        <v>57</v>
      </c>
      <c r="C49" s="137"/>
      <c r="D49" s="4">
        <f t="shared" si="3"/>
        <v>5307.5</v>
      </c>
      <c r="E49" s="130"/>
      <c r="F49" s="95"/>
      <c r="G49" s="78">
        <f>1413.5+2880+416+182+416</f>
        <v>5307.5</v>
      </c>
      <c r="H49" s="78"/>
      <c r="I49" s="78"/>
      <c r="J49" s="78"/>
      <c r="K49" s="78"/>
      <c r="L49" s="78"/>
      <c r="M49" s="113">
        <f>SUM(F49:L49)</f>
        <v>5307.5</v>
      </c>
    </row>
    <row r="50" spans="1:15" ht="14.1" customHeight="1" thickBot="1" x14ac:dyDescent="0.25">
      <c r="A50" s="139"/>
      <c r="B50" s="103" t="s">
        <v>58</v>
      </c>
      <c r="C50" s="137"/>
      <c r="D50" s="4">
        <f t="shared" si="3"/>
        <v>5832.2</v>
      </c>
      <c r="E50" s="130"/>
      <c r="F50" s="95"/>
      <c r="G50" s="78">
        <f>620+101</f>
        <v>721</v>
      </c>
      <c r="H50" s="78"/>
      <c r="I50" s="78"/>
      <c r="J50" s="78"/>
      <c r="K50" s="78"/>
      <c r="L50" s="78">
        <f>2447.2+2664</f>
        <v>5111.2</v>
      </c>
      <c r="M50" s="113">
        <f>SUM(F50:L50)</f>
        <v>5832.2</v>
      </c>
    </row>
    <row r="51" spans="1:15" ht="14.1" customHeight="1" thickBot="1" x14ac:dyDescent="0.25">
      <c r="A51" s="139"/>
      <c r="B51" s="101" t="s">
        <v>55</v>
      </c>
      <c r="C51" s="137"/>
      <c r="D51" s="4">
        <f t="shared" si="3"/>
        <v>2660</v>
      </c>
      <c r="E51" s="130"/>
      <c r="F51" s="95"/>
      <c r="G51" s="78"/>
      <c r="H51" s="78"/>
      <c r="I51" s="78">
        <v>2660</v>
      </c>
      <c r="J51" s="78"/>
      <c r="K51" s="78"/>
      <c r="L51" s="78"/>
      <c r="M51" s="113">
        <f>SUM(F51:L51)</f>
        <v>2660</v>
      </c>
    </row>
    <row r="52" spans="1:15" ht="15.75" customHeight="1" thickBot="1" x14ac:dyDescent="0.25">
      <c r="A52" s="139"/>
      <c r="B52" s="108" t="s">
        <v>47</v>
      </c>
      <c r="C52" s="137"/>
      <c r="D52" s="26">
        <f t="shared" si="3"/>
        <v>167000</v>
      </c>
      <c r="E52" s="130"/>
      <c r="F52" s="95"/>
      <c r="G52" s="78"/>
      <c r="H52" s="78"/>
      <c r="I52" s="78"/>
      <c r="J52" s="78"/>
      <c r="K52" s="78">
        <v>87000</v>
      </c>
      <c r="L52" s="78">
        <v>80000</v>
      </c>
      <c r="M52" s="113">
        <f>SUM(F52:L52)</f>
        <v>167000</v>
      </c>
    </row>
    <row r="53" spans="1:15" ht="15.75" thickBot="1" x14ac:dyDescent="0.3">
      <c r="A53" s="140"/>
      <c r="B53" s="30" t="s">
        <v>36</v>
      </c>
      <c r="C53" s="115"/>
      <c r="D53" s="63">
        <f>SUM(D45:D52)</f>
        <v>192469.45</v>
      </c>
      <c r="E53" s="131"/>
      <c r="F53" s="95"/>
      <c r="G53" s="78"/>
      <c r="H53" s="78"/>
      <c r="I53" s="78"/>
      <c r="J53" s="78"/>
      <c r="K53" s="78"/>
      <c r="L53" s="78"/>
      <c r="M53" s="145"/>
    </row>
    <row r="54" spans="1:15" ht="15.75" thickBot="1" x14ac:dyDescent="0.3">
      <c r="A54" s="8"/>
      <c r="B54" s="13" t="s">
        <v>44</v>
      </c>
      <c r="C54" s="105">
        <f>SUM(C13:C53)</f>
        <v>2400000</v>
      </c>
      <c r="D54" s="65">
        <f>D13+D14+D15+D18+D19+D22+D23+D24+D25+D44+D53+D27+D26</f>
        <v>459805.16000000003</v>
      </c>
      <c r="E54" s="1"/>
      <c r="F54" s="143">
        <f>SUM(F10:F53)</f>
        <v>65939.38</v>
      </c>
      <c r="G54" s="91">
        <f>SUM(G10:G53)</f>
        <v>34598.25</v>
      </c>
      <c r="H54" s="91">
        <f>SUM(H10:H53)</f>
        <v>58666.570000000007</v>
      </c>
      <c r="I54" s="91">
        <f>SUM(I10:I53)</f>
        <v>25539.17</v>
      </c>
      <c r="J54" s="91">
        <f>SUM(J10:J53)</f>
        <v>35409.950000000004</v>
      </c>
      <c r="K54" s="91">
        <f>SUM(K10:K53)</f>
        <v>122160.8</v>
      </c>
      <c r="L54" s="144">
        <f>SUM(L10:L53)</f>
        <v>117491.04000000001</v>
      </c>
      <c r="M54" s="146">
        <f>SUM(F54:L54)</f>
        <v>459805.16000000003</v>
      </c>
    </row>
    <row r="55" spans="1:15" ht="15.75" thickBot="1" x14ac:dyDescent="0.3">
      <c r="A55" s="6"/>
      <c r="B55" s="13" t="s">
        <v>67</v>
      </c>
      <c r="C55" s="13"/>
      <c r="D55" s="65">
        <f>D8-D54</f>
        <v>168045.28999999992</v>
      </c>
      <c r="E55" s="41"/>
      <c r="F55" s="80"/>
      <c r="G55" s="81"/>
      <c r="H55" s="82"/>
      <c r="I55" s="82"/>
      <c r="J55" s="81"/>
      <c r="K55" s="83"/>
      <c r="L55" s="147"/>
      <c r="M55" s="148"/>
    </row>
    <row r="56" spans="1:15" ht="18" customHeight="1" x14ac:dyDescent="0.2">
      <c r="B56" s="60" t="s">
        <v>6</v>
      </c>
      <c r="C56" s="29"/>
      <c r="D56" s="20" t="s">
        <v>24</v>
      </c>
      <c r="E56" s="20"/>
      <c r="F56" s="84"/>
      <c r="G56" s="84"/>
      <c r="H56" s="84"/>
      <c r="I56" s="84"/>
      <c r="J56" s="84"/>
      <c r="K56" s="84"/>
      <c r="L56" s="84"/>
      <c r="O56" s="71"/>
    </row>
    <row r="57" spans="1:15" ht="17.25" customHeight="1" x14ac:dyDescent="0.2">
      <c r="B57" s="92" t="s">
        <v>7</v>
      </c>
      <c r="C57" s="93"/>
      <c r="D57" s="94" t="s">
        <v>8</v>
      </c>
      <c r="E57" s="32"/>
      <c r="H57" s="85"/>
      <c r="I57" s="85"/>
      <c r="J57" s="85"/>
      <c r="K57" s="85"/>
      <c r="L57" s="85"/>
    </row>
    <row r="58" spans="1:15" x14ac:dyDescent="0.2">
      <c r="J58" s="85"/>
      <c r="K58" s="85"/>
      <c r="L58" s="85"/>
      <c r="M58" s="86"/>
      <c r="O58" s="70"/>
    </row>
    <row r="59" spans="1:15" x14ac:dyDescent="0.2">
      <c r="F59" s="87"/>
      <c r="G59" s="87"/>
    </row>
    <row r="60" spans="1:15" x14ac:dyDescent="0.2">
      <c r="F60" s="88"/>
      <c r="G60" s="84"/>
      <c r="H60" s="88"/>
      <c r="I60" s="88"/>
      <c r="J60" s="88"/>
      <c r="K60" s="88"/>
      <c r="L60" s="88"/>
      <c r="M60" s="89"/>
      <c r="N60" s="72"/>
      <c r="O60" s="70"/>
    </row>
    <row r="61" spans="1:15" x14ac:dyDescent="0.2">
      <c r="F61" s="87"/>
      <c r="G61" s="87"/>
      <c r="H61" s="87"/>
      <c r="I61" s="87"/>
      <c r="J61" s="87"/>
      <c r="K61" s="87"/>
      <c r="L61" s="87"/>
      <c r="M61" s="90"/>
      <c r="N61" s="72"/>
      <c r="O61" s="72"/>
    </row>
    <row r="62" spans="1:15" x14ac:dyDescent="0.2">
      <c r="F62" s="84"/>
      <c r="G62" s="84"/>
      <c r="H62" s="84"/>
      <c r="I62" s="84"/>
      <c r="J62" s="84"/>
      <c r="K62" s="84"/>
      <c r="L62" s="84"/>
      <c r="M62" s="89"/>
      <c r="N62" s="72"/>
      <c r="O62" s="71"/>
    </row>
    <row r="66" spans="7:7" x14ac:dyDescent="0.2">
      <c r="G66" s="85"/>
    </row>
  </sheetData>
  <mergeCells count="27">
    <mergeCell ref="A28:A44"/>
    <mergeCell ref="E45:E53"/>
    <mergeCell ref="C16:C17"/>
    <mergeCell ref="A16:A17"/>
    <mergeCell ref="E16:E17"/>
    <mergeCell ref="E20:E22"/>
    <mergeCell ref="C45:C53"/>
    <mergeCell ref="C20:C22"/>
    <mergeCell ref="A45:A53"/>
    <mergeCell ref="E28:E44"/>
    <mergeCell ref="C24:C25"/>
    <mergeCell ref="E24:E25"/>
    <mergeCell ref="C28:C44"/>
    <mergeCell ref="C10:C11"/>
    <mergeCell ref="A1:E1"/>
    <mergeCell ref="M3:M4"/>
    <mergeCell ref="F3:F5"/>
    <mergeCell ref="G3:G5"/>
    <mergeCell ref="H3:H5"/>
    <mergeCell ref="I3:I5"/>
    <mergeCell ref="J3:J5"/>
    <mergeCell ref="K3:K5"/>
    <mergeCell ref="L3:L5"/>
    <mergeCell ref="A2:C2"/>
    <mergeCell ref="E3:E5"/>
    <mergeCell ref="C3:D3"/>
    <mergeCell ref="E10:E13"/>
  </mergeCells>
  <phoneticPr fontId="3" type="noConversion"/>
  <pageMargins left="0.59055118110236227" right="0.19685039370078741" top="0" bottom="0" header="0.51181102362204722" footer="0.51181102362204722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2020г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fond</cp:lastModifiedBy>
  <cp:lastPrinted>2020-09-02T05:47:59Z</cp:lastPrinted>
  <dcterms:created xsi:type="dcterms:W3CDTF">2006-01-13T03:28:48Z</dcterms:created>
  <dcterms:modified xsi:type="dcterms:W3CDTF">2020-09-02T08:18:36Z</dcterms:modified>
</cp:coreProperties>
</file>